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Expenses" state="visible" r:id="rId5"/>
    <sheet sheetId="3" name="Rules" state="visible" r:id="rId6"/>
    <sheet sheetId="4" name="Conference data" state="visible" r:id="rId7"/>
  </sheets>
  <definedNames>
    <definedName name="Conference">'Start here'!$C$9</definedName>
    <definedName name="TaxYear">'Start here'!$C$10</definedName>
  </definedNames>
  <calcPr calcId="171027"/>
</workbook>
</file>

<file path=xl/sharedStrings.xml><?xml version="1.0" encoding="utf-8"?>
<sst xmlns="http://schemas.openxmlformats.org/spreadsheetml/2006/main" count="402" uniqueCount="150">
  <si>
    <t>FairShare</t>
  </si>
  <si>
    <t>Year-End Apportionment Review</t>
  </si>
  <si>
    <t>Use this sheet to check whether your completed Table II / Local Church Report is classifying expenses the way your conference's apportionment formula expects. Enter your conference and amounts below; the Summary updates automatically.</t>
  </si>
  <si>
    <t>Your conference</t>
  </si>
  <si>
    <t>Texas Annual</t>
  </si>
  <si>
    <t>Tax year being reviewed</t>
  </si>
  <si>
    <t>Summary</t>
  </si>
  <si>
    <t>Populated from the Expenses sheet — enter your amounts there.</t>
  </si>
  <si>
    <t>Total operating expenses entered</t>
  </si>
  <si>
    <t>Every row from the Expenses sheet.</t>
  </si>
  <si>
    <t>Included in apportionment base</t>
  </si>
  <si>
    <t>Amounts whose status resolves to 'include' or 'review' (review treated conservatively as include).</t>
  </si>
  <si>
    <t>Excluded from base</t>
  </si>
  <si>
    <t>Amounts whose status resolves to 'exclude' under your conference's rules.</t>
  </si>
  <si>
    <t>Needs verification (review)</t>
  </si>
  <si>
    <t>Conference documentation is silent; confirm with your treasurer.</t>
  </si>
  <si>
    <t>Conference budget (apportioned pool)</t>
  </si>
  <si>
    <t>Conference-wide base (denominator)</t>
  </si>
  <si>
    <t>Effective rate</t>
  </si>
  <si>
    <t>Estimated apportionment from included base</t>
  </si>
  <si>
    <t>This is a one-church estimate derived from the decimal (budget ÷ conference-wide base). Your actual bill may vary slightly — some conferences add a district layer that isn't modeled here.</t>
  </si>
  <si>
    <t>Next steps</t>
  </si>
  <si>
    <t>• Share this spreadsheet with your treasurer — the citations on the Rules sheet are defensible with any conference auditor.</t>
  </si>
  <si>
    <t>• Want year-round planning? The FairShare app shows the apportionment impact of every proposed budget line, live, during your finance committee meeting. Starts at $79/year.</t>
  </si>
  <si>
    <t>• See fairshare.church for the app and to add your conference if it isn't on the list.</t>
  </si>
  <si>
    <t>Enter last year's expenses by subcategory.</t>
  </si>
  <si>
    <t>Amount = your reported expense for that line. Status and Citation come from your conference's rules — they update when you change the conference on the 'Start here' sheet.</t>
  </si>
  <si>
    <t>Category</t>
  </si>
  <si>
    <t>Subcategory</t>
  </si>
  <si>
    <t>Amount ($)</t>
  </si>
  <si>
    <t>Status</t>
  </si>
  <si>
    <t>In base</t>
  </si>
  <si>
    <t>Notes / citation</t>
  </si>
  <si>
    <t>Compensation &amp; Staff</t>
  </si>
  <si>
    <t>Salary / wages</t>
  </si>
  <si>
    <t>Housing allowance</t>
  </si>
  <si>
    <t>Health &amp; pension benefits</t>
  </si>
  <si>
    <t>SECA reimbursement</t>
  </si>
  <si>
    <t>Past Service Liability (pension arrears)</t>
  </si>
  <si>
    <t>Operating Expenses</t>
  </si>
  <si>
    <t>Utilities</t>
  </si>
  <si>
    <t>Office &amp; administrative</t>
  </si>
  <si>
    <t>Insurance (non-property-damage)</t>
  </si>
  <si>
    <t>Routine maintenance &amp; repairs</t>
  </si>
  <si>
    <t>Loan interest</t>
  </si>
  <si>
    <t>Program &amp; Ministry</t>
  </si>
  <si>
    <t>Youth &amp; children programs</t>
  </si>
  <si>
    <t>Worship &amp; music</t>
  </si>
  <si>
    <t>Adult education / discipleship</t>
  </si>
  <si>
    <t>Local outreach &amp; community</t>
  </si>
  <si>
    <t>Events &amp; retreats</t>
  </si>
  <si>
    <t>Capital &amp; Property</t>
  </si>
  <si>
    <t>New construction</t>
  </si>
  <si>
    <t>Major renovation / improvement</t>
  </si>
  <si>
    <t>Major equipment (&gt;$5K)</t>
  </si>
  <si>
    <t>Loan principal payments</t>
  </si>
  <si>
    <t>Land purchase</t>
  </si>
  <si>
    <t>Connectional Giving</t>
  </si>
  <si>
    <t>Apportionments paid</t>
  </si>
  <si>
    <t>General Advance Specials</t>
  </si>
  <si>
    <t>Conference Advance Specials</t>
  </si>
  <si>
    <t>UMCOR / disaster relief</t>
  </si>
  <si>
    <t>Other benevolences (non-UMC charities)</t>
  </si>
  <si>
    <t>Other / Uncategorized</t>
  </si>
  <si>
    <t>Miscellaneous / uncategorized</t>
  </si>
  <si>
    <t>TOTAL</t>
  </si>
  <si>
    <t>← This total feeds your apportionment formula.</t>
  </si>
  <si>
    <t>Rule source: lib/rules/engine.ts (live engine). Regenerate with `pnpm gen:spreadsheet` when the engine changes.</t>
  </si>
  <si>
    <t>subId</t>
  </si>
  <si>
    <t>Texas Annual — Status</t>
  </si>
  <si>
    <t>Texas Annual — Citation</t>
  </si>
  <si>
    <t>Rio Texas — Status</t>
  </si>
  <si>
    <t>Rio Texas — Citation</t>
  </si>
  <si>
    <t>North Georgia — Status</t>
  </si>
  <si>
    <t>North Georgia — Citation</t>
  </si>
  <si>
    <t>Louisiana — Status</t>
  </si>
  <si>
    <t>Louisiana — Citation</t>
  </si>
  <si>
    <t>salary</t>
  </si>
  <si>
    <t>include</t>
  </si>
  <si>
    <t>Operating compensation — included in base.</t>
  </si>
  <si>
    <t>housing</t>
  </si>
  <si>
    <t>benefits</t>
  </si>
  <si>
    <t>Operating benefits — included. Past Service Liability is handled separately.</t>
  </si>
  <si>
    <t>exclude</t>
  </si>
  <si>
    <t>Rio Tx: health &amp; pension benefits are managed directly by the Conference Treasurer (CF&amp;A Operating Policies §4) and are NOT part of Lines 41-47, which are the only lines that enter the apportionment decimal.</t>
  </si>
  <si>
    <t>review</t>
  </si>
  <si>
    <t>NGUMC: PENSION benefits are INCLUDED in operating expenses; HealthFlex health insurance is EXPLICITLY EXCLUDED (2025 NGUMC Journal §207.i, p.423). If the amount is pension-only, treat as INCLUDE; if HealthFlex-only, treat as EXCLUDE; combined items fall between.</t>
  </si>
  <si>
    <t>Louisiana: health &amp; pension benefits are not among the 9 factors in the apportionment decimal (2025 LA Journal, Conference Rules Art. I.A).</t>
  </si>
  <si>
    <t>seca</t>
  </si>
  <si>
    <t>Treated as compensation — included.</t>
  </si>
  <si>
    <t>pastsvc</t>
  </si>
  <si>
    <t>Past Service Liability on pensions is explicitly excluded from the base (GCFA guidance).</t>
  </si>
  <si>
    <t>utilities</t>
  </si>
  <si>
    <t>Operating — included.</t>
  </si>
  <si>
    <t>office</t>
  </si>
  <si>
    <t>insurance</t>
  </si>
  <si>
    <t>Rio Tx: falls under Line 47 (current operating expenses other than program).</t>
  </si>
  <si>
    <t>Commercial insurance — NGUMC: 'Expenses related to commercial insurance' are explicitly listed as operating expenses and counted in the base (2025 NGUMC Journal §207.i, p.423).</t>
  </si>
  <si>
    <t>Property &amp; liability insurance — Louisiana: property and liability insurance is explicitly excluded from factor 9, 'other current operating expenses' (2025 LA Journal, Conference Rules Art. I.A.9).</t>
  </si>
  <si>
    <t>maint</t>
  </si>
  <si>
    <t>Routine maintenance is operating; included. Distinguish from capital work.</t>
  </si>
  <si>
    <t>interest</t>
  </si>
  <si>
    <t>TAC: interest on indebtedness excluded from the base.</t>
  </si>
  <si>
    <t>Rio Tx: base is Local Church Report Lines 41-47 only; loan interest is not among those lines, therefore excluded (2025 Rio Tx Journal, Finance Table/CF&amp;A).</t>
  </si>
  <si>
    <t>NGUMC: 'Payments on indebtedness' are explicitly excluded from operating expenses (2025 NGUMC Journal §207.i, p.423).</t>
  </si>
  <si>
    <t>Louisiana: loan interest is not among the 9 factors in the apportionment decimal (2025 LA Journal, Conference Rules Art. I.A).</t>
  </si>
  <si>
    <t>youth</t>
  </si>
  <si>
    <t>Program expense — included.</t>
  </si>
  <si>
    <t>worship</t>
  </si>
  <si>
    <t>education</t>
  </si>
  <si>
    <t>outreach</t>
  </si>
  <si>
    <t>events</t>
  </si>
  <si>
    <t>new-build</t>
  </si>
  <si>
    <t>Capital expenditure on buildings excluded from apportionment base.</t>
  </si>
  <si>
    <t>renovation</t>
  </si>
  <si>
    <t>Capital improvements excluded from base.</t>
  </si>
  <si>
    <t>equipment</t>
  </si>
  <si>
    <t>Capitalized equipment typically excluded. Small-dollar equipment goes under operating.</t>
  </si>
  <si>
    <t>principal</t>
  </si>
  <si>
    <t>Loan principal is excluded from the base.</t>
  </si>
  <si>
    <t>land</t>
  </si>
  <si>
    <t>Capital — excluded.</t>
  </si>
  <si>
    <t>apport-paid</t>
  </si>
  <si>
    <t>Never counted in the base for next year's apportionment (circular). Excluded.</t>
  </si>
  <si>
    <t>gen-advance</t>
  </si>
  <si>
    <t>Pass-through designated gifts — excluded from base.</t>
  </si>
  <si>
    <t>conf-advance</t>
  </si>
  <si>
    <t>umcor</t>
  </si>
  <si>
    <t>Disaster-designated offerings excluded from base.</t>
  </si>
  <si>
    <t>other-benev</t>
  </si>
  <si>
    <t>TAC: other benevolences excluded from base.</t>
  </si>
  <si>
    <t>Rio Tx: base is Local Church Report Lines 41-47 only; benevolences/connectional giving are not among those lines, therefore excluded (2025 Rio Tx Journal, Finance Table/CF&amp;A).</t>
  </si>
  <si>
    <t>NGUMC: 'Local benevolences are NOT considered operating expenses' (2025 NGUMC Journal §207.i, p.423). Explicitly excluded.</t>
  </si>
  <si>
    <t>Louisiana: benevolences/connectional giving are not among the 9 factors in the apportionment decimal (2025 LA Journal, Conference Rules Art. I.A).</t>
  </si>
  <si>
    <t>misc</t>
  </si>
  <si>
    <t>Default: if not on an exclusion list, it counts in the base. Minimize use.</t>
  </si>
  <si>
    <t>Conference</t>
  </si>
  <si>
    <t>Budget</t>
  </si>
  <si>
    <t>ConfBase</t>
  </si>
  <si>
    <t>Formula</t>
  </si>
  <si>
    <t>Simplification note</t>
  </si>
  <si>
    <t>A = E × P × i</t>
  </si>
  <si>
    <t/>
  </si>
  <si>
    <t>Rio Texas</t>
  </si>
  <si>
    <t>Decimal: 2-yr avg (L41–47) / $101,339,961 × fund</t>
  </si>
  <si>
    <t>Rio Texas also apportions a small District Ministries fund using a district-only denominator (not modeled here). Actual bill is typically 3–8% higher than the number shown.</t>
  </si>
  <si>
    <t>North Georgia</t>
  </si>
  <si>
    <t>Decimal: $10,493,931 / $136,499,645 × church op-exp (~7.7%)</t>
  </si>
  <si>
    <t>Louisiana</t>
  </si>
  <si>
    <t>Decimal: 2-yr avg (9 factors) / conf-wide 2-yr avg ×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</si>
</sst>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24" x14ac:knownFonts="1">
    <font>
      <color theme="1"/>
      <family val="2"/>
      <scheme val="minor"/>
      <sz val="11"/>
      <name val="Calibri"/>
    </font>
    <font>
      <b/>
      <color rgb="FF1A1A1A"/>
      <sz val="28"/>
      <name val="Calibri"/>
    </font>
    <font>
      <i/>
      <color rgb="FF722F37"/>
      <sz val="14"/>
      <name val="Calibri"/>
    </font>
    <font>
      <color rgb="FF1A1A1A"/>
      <sz val="11"/>
      <name val="Calibri"/>
    </font>
    <font>
      <b/>
      <sz val="11"/>
    </font>
    <font>
      <b/>
      <color rgb="FF722F37"/>
      <sz val="12"/>
    </font>
    <font>
      <sz val="12"/>
    </font>
    <font>
      <b/>
      <color rgb="FF1A1A1A"/>
      <sz val="16"/>
    </font>
    <font>
      <i/>
      <color rgb="FF8C867A"/>
      <sz val="10"/>
    </font>
    <font>
      <b/>
      <color rgb="FF1A1A1A"/>
      <sz val="14"/>
    </font>
    <font>
      <b/>
      <color rgb="FF722F37"/>
      <sz val="16"/>
    </font>
    <font>
      <b/>
      <sz val="14"/>
    </font>
    <font>
      <sz val="11"/>
    </font>
    <font>
      <b/>
      <color rgb="FF1A1A1A"/>
      <sz val="11"/>
    </font>
    <font>
      <color rgb="FF8C867A"/>
      <sz val="10"/>
    </font>
    <font>
      <b/>
      <sz val="10"/>
    </font>
    <font>
      <color rgb="FF8C867A"/>
      <sz val="11"/>
    </font>
    <font>
      <b/>
      <sz val="12"/>
    </font>
    <font>
      <color rgb="FF8C867A"/>
      <sz val="9"/>
    </font>
    <font>
      <b/>
      <color rgb="FF1A1A1A"/>
      <sz val="10"/>
    </font>
    <font>
      <b/>
      <color rgb="FF166534"/>
      <sz val="10"/>
    </font>
    <font>
      <b/>
      <color rgb="FFB45309"/>
      <sz val="10"/>
    </font>
    <font>
      <sz val="10"/>
    </font>
    <font>
      <i/>
      <color rgb="FF8C867A"/>
      <sz val="9"/>
    </font>
  </fonts>
  <fills count="3">
    <fill>
      <patternFill patternType="none"/>
    </fill>
    <fill>
      <patternFill patternType="gray125"/>
    </fill>
    <fill>
      <patternFill patternType="solid">
        <fgColor rgb="FFEEECE6"/>
      </patternFill>
    </fill>
  </fills>
  <borders count="5">
    <border>
      <left/>
      <right/>
      <top/>
      <bottom/>
      <diagonal/>
    </border>
    <border>
      <left/>
      <right/>
      <top/>
      <bottom style="thin">
        <color rgb="FF722F37"/>
      </bottom>
      <diagonal/>
    </border>
    <border>
      <left/>
      <right/>
      <top/>
      <bottom style="thin">
        <color rgb="FF8C867A"/>
      </bottom>
      <diagonal/>
    </border>
    <border>
      <left/>
      <right/>
      <top/>
      <bottom style="thin">
        <color rgb="FFC9C5BB"/>
      </bottom>
      <diagonal/>
    </border>
    <border>
      <left/>
      <right/>
      <top style="medium">
        <color rgb="FF1A1A1A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/>
    <xf numFmtId="0" fontId="5" fillId="0" borderId="1" xfId="0" applyFont="1" applyBorder="1"/>
    <xf numFmtId="1" fontId="6" fillId="0" borderId="2" xfId="0" applyNumberFormat="1" applyFont="1" applyBorder="1"/>
    <xf numFmtId="0" fontId="7" fillId="0" borderId="0" xfId="0" applyFont="1"/>
    <xf numFmtId="0" fontId="8" fillId="0" borderId="0" xfId="0" applyFont="1"/>
    <xf numFmtId="164" fontId="9" fillId="0" borderId="0" xfId="0" applyNumberFormat="1" applyFont="1"/>
    <xf numFmtId="0" fontId="8" fillId="0" borderId="0" xfId="0" applyFont="1" applyAlignment="1">
      <alignment vertical="center" wrapText="1"/>
    </xf>
    <xf numFmtId="164" fontId="0" fillId="0" borderId="0" xfId="0" applyNumberFormat="1"/>
    <xf numFmtId="10" fontId="0" fillId="0" borderId="0" xfId="0" applyNumberFormat="1"/>
    <xf numFmtId="0" fontId="5" fillId="0" borderId="0" xfId="0" applyFont="1"/>
    <xf numFmtId="164" fontId="10" fillId="0" borderId="0" xfId="0" applyNumberFormat="1" applyFont="1"/>
    <xf numFmtId="0" fontId="8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wrapText="1"/>
    </xf>
    <xf numFmtId="0" fontId="13" fillId="2" borderId="3" xfId="0" applyFont="1" applyFill="1" applyBorder="1" applyAlignment="1">
      <alignment vertical="center" wrapText="1"/>
    </xf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center"/>
    </xf>
    <xf numFmtId="164" fontId="16" fillId="0" borderId="0" xfId="0" applyNumberFormat="1" applyFont="1" applyAlignment="1">
      <alignment horizontal="right"/>
    </xf>
    <xf numFmtId="0" fontId="14" fillId="0" borderId="0" xfId="0" applyFont="1" applyAlignment="1">
      <alignment vertical="top" wrapText="1"/>
    </xf>
    <xf numFmtId="0" fontId="17" fillId="0" borderId="4" xfId="0" applyFont="1" applyBorder="1"/>
    <xf numFmtId="164" fontId="17" fillId="0" borderId="4" xfId="0" applyNumberFormat="1" applyFont="1" applyBorder="1"/>
    <xf numFmtId="164" fontId="5" fillId="0" borderId="4" xfId="0" applyNumberFormat="1" applyFont="1" applyBorder="1"/>
    <xf numFmtId="0" fontId="8" fillId="0" borderId="4" xfId="0" applyFont="1" applyBorder="1"/>
    <xf numFmtId="0" fontId="18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3" fillId="0" borderId="0" xfId="0" applyFont="1" applyAlignment="1">
      <alignment vertical="top" wrapText="1"/>
    </xf>
  </cellXfs>
  <cellStyles count="1">
    <cellStyle name="Normal" xfId="0" builtinId="0"/>
  </cellStyles>
  <dxfs count="78"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  <dxf>
      <font>
        <color rgb="FF1A1A1A"/>
      </font>
    </dxf>
    <dxf>
      <font>
        <color rgb="FF166534"/>
      </font>
    </dxf>
    <dxf>
      <font>
        <color rgb="FFB4530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22F37"/>
  </sheetPr>
  <dimension ref="B2:E33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28" customWidth="1"/>
    <col min="3" max="5" width="18" customWidth="1"/>
    <col min="6" max="6" width="3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5" x14ac:dyDescent="0.25">
      <c r="B5" s="3" t="s">
        <v>2</v>
      </c>
      <c r="C5" s="3"/>
      <c r="D5" s="3"/>
      <c r="E5" s="3"/>
    </row>
    <row r="6" spans="2:5" x14ac:dyDescent="0.25">
      <c r="B6" s="3"/>
      <c r="C6" s="3"/>
      <c r="D6" s="3"/>
      <c r="E6" s="3"/>
    </row>
    <row r="7" spans="2:5" x14ac:dyDescent="0.25">
      <c r="B7" s="3"/>
      <c r="C7" s="3"/>
      <c r="D7" s="3"/>
      <c r="E7" s="3"/>
    </row>
    <row r="9" spans="2:5" x14ac:dyDescent="0.25">
      <c r="B9" s="4" t="s">
        <v>3</v>
      </c>
      <c r="C9" s="5" t="s">
        <v>4</v>
      </c>
      <c r="D9" s="5"/>
      <c r="E9" s="5"/>
    </row>
    <row r="10" spans="2:3" x14ac:dyDescent="0.25">
      <c r="B10" s="4" t="s">
        <v>5</v>
      </c>
      <c r="C10" s="6">
        <v>2025</v>
      </c>
    </row>
    <row r="13" spans="2:2" x14ac:dyDescent="0.25">
      <c r="B13" s="7" t="s">
        <v>6</v>
      </c>
    </row>
    <row r="14" spans="2:5" x14ac:dyDescent="0.25">
      <c r="B14" s="8" t="s">
        <v>7</v>
      </c>
      <c r="C14" s="8"/>
      <c r="D14" s="8"/>
      <c r="E14" s="8"/>
    </row>
    <row r="16" ht="28" customHeight="1" spans="2:5" x14ac:dyDescent="0.25">
      <c r="B16" s="4" t="s">
        <v>8</v>
      </c>
      <c r="C16" s="9">
        <f>=SUM(Expenses!C5:C100)</f>
      </c>
      <c r="D16" s="10" t="s">
        <v>9</v>
      </c>
      <c r="E16" s="10"/>
    </row>
    <row r="17" ht="28" customHeight="1" spans="2:5" x14ac:dyDescent="0.25">
      <c r="B17" s="4" t="s">
        <v>10</v>
      </c>
      <c r="C17" s="9">
        <f>=SUMIF(Expenses!D5:D100,"include",Expenses!C5:C100)+SUMIF(Expenses!D5:D100,"review",Expenses!C5:C100)</f>
      </c>
      <c r="D17" s="10" t="s">
        <v>11</v>
      </c>
      <c r="E17" s="10"/>
    </row>
    <row r="18" ht="28" customHeight="1" spans="2:5" x14ac:dyDescent="0.25">
      <c r="B18" s="4" t="s">
        <v>12</v>
      </c>
      <c r="C18" s="9">
        <f>=SUMIF(Expenses!D5:D100,"exclude",Expenses!C5:C100)</f>
      </c>
      <c r="D18" s="10" t="s">
        <v>13</v>
      </c>
      <c r="E18" s="10"/>
    </row>
    <row r="19" ht="28" customHeight="1" spans="2:5" x14ac:dyDescent="0.25">
      <c r="B19" s="4" t="s">
        <v>14</v>
      </c>
      <c r="C19" s="9">
        <f>=SUMIF(Expenses!D5:D100,"review",Expenses!C5:C100)</f>
      </c>
      <c r="D19" s="10" t="s">
        <v>15</v>
      </c>
      <c r="E19" s="10"/>
    </row>
    <row r="21" spans="2:3" x14ac:dyDescent="0.25">
      <c r="B21" s="4" t="s">
        <v>16</v>
      </c>
      <c r="C21" s="11">
        <f>VLOOKUP(Conference,'Conference data'!$A$2:$E$5,2,FALSE)</f>
      </c>
    </row>
    <row r="22" spans="2:3" x14ac:dyDescent="0.25">
      <c r="B22" s="4" t="s">
        <v>17</v>
      </c>
      <c r="C22" s="11">
        <f>VLOOKUP(Conference,'Conference data'!$A$2:$E$5,3,FALSE)</f>
      </c>
    </row>
    <row r="23" spans="2:3" x14ac:dyDescent="0.25">
      <c r="B23" s="4" t="s">
        <v>18</v>
      </c>
      <c r="C23" s="12">
        <f>C21/C22</f>
      </c>
    </row>
    <row r="24" ht="30" customHeight="1" spans="2:3" x14ac:dyDescent="0.25">
      <c r="B24" s="13" t="s">
        <v>19</v>
      </c>
      <c r="C24" s="14">
        <f>C17*C23</f>
      </c>
    </row>
    <row r="27" spans="2:5" x14ac:dyDescent="0.25">
      <c r="B27" s="15" t="s">
        <v>20</v>
      </c>
      <c r="C27" s="15"/>
      <c r="D27" s="15"/>
      <c r="E27" s="15"/>
    </row>
    <row r="28" spans="2:5" x14ac:dyDescent="0.25">
      <c r="B28" s="15"/>
      <c r="C28" s="15"/>
      <c r="D28" s="15"/>
      <c r="E28" s="15"/>
    </row>
    <row r="30" spans="2:2" x14ac:dyDescent="0.25">
      <c r="B30" s="16" t="s">
        <v>21</v>
      </c>
    </row>
    <row r="31" ht="28" customHeight="1" spans="2:5" x14ac:dyDescent="0.25">
      <c r="B31" s="17" t="s">
        <v>22</v>
      </c>
      <c r="C31" s="17"/>
      <c r="D31" s="17"/>
      <c r="E31" s="17"/>
    </row>
    <row r="32" ht="28" customHeight="1" spans="2:5" x14ac:dyDescent="0.25">
      <c r="B32" s="17" t="s">
        <v>23</v>
      </c>
      <c r="C32" s="17"/>
      <c r="D32" s="17"/>
      <c r="E32" s="17"/>
    </row>
    <row r="33" ht="28" customHeight="1" spans="2:5" x14ac:dyDescent="0.25">
      <c r="B33" s="17" t="s">
        <v>24</v>
      </c>
      <c r="C33" s="17"/>
      <c r="D33" s="17"/>
      <c r="E33" s="17"/>
    </row>
  </sheetData>
  <mergeCells count="11">
    <mergeCell ref="B5:E7"/>
    <mergeCell ref="C9:E9"/>
    <mergeCell ref="B14:E14"/>
    <mergeCell ref="D16:E16"/>
    <mergeCell ref="D17:E17"/>
    <mergeCell ref="D18:E18"/>
    <mergeCell ref="D19:E19"/>
    <mergeCell ref="B27:E28"/>
    <mergeCell ref="B31:E31"/>
    <mergeCell ref="B32:E32"/>
    <mergeCell ref="B33:E33"/>
  </mergeCells>
  <dataValidations count="1">
    <dataValidation type="list" showErrorMessage="1" errorTitle="Pick a supported conference" error="Choose one from the list." sqref="C9">
      <formula1>"Texas Annual,Rio Texas,North Georgia,Louisiana"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1A1A"/>
  </sheetPr>
  <dimension ref="A1:F38"/>
  <sheetViews>
    <sheetView workbookViewId="0" showGridLines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2" width="36" customWidth="1"/>
    <col min="3" max="3" width="16" customWidth="1"/>
    <col min="4" max="5" width="14" customWidth="1"/>
    <col min="6" max="6" width="56" customWidth="1"/>
  </cols>
  <sheetData>
    <row r="1" spans="1:6" x14ac:dyDescent="0.25">
      <c r="A1" s="16" t="s">
        <v>25</v>
      </c>
      <c r="B1" s="16"/>
      <c r="C1" s="16"/>
      <c r="D1" s="16"/>
      <c r="E1" s="16"/>
      <c r="F1" s="16"/>
    </row>
    <row r="2" ht="30" customHeight="1" spans="1:6" x14ac:dyDescent="0.25">
      <c r="A2" s="15" t="s">
        <v>26</v>
      </c>
      <c r="B2" s="15"/>
      <c r="C2" s="15"/>
      <c r="D2" s="15"/>
      <c r="E2" s="15"/>
      <c r="F2" s="15"/>
    </row>
    <row r="4" ht="22" customHeight="1" spans="1:6" x14ac:dyDescent="0.25">
      <c r="A4" s="18" t="s">
        <v>27</v>
      </c>
      <c r="B4" s="18" t="s">
        <v>28</v>
      </c>
      <c r="C4" s="18" t="s">
        <v>29</v>
      </c>
      <c r="D4" s="18" t="s">
        <v>30</v>
      </c>
      <c r="E4" s="18" t="s">
        <v>31</v>
      </c>
      <c r="F4" s="18" t="s">
        <v>32</v>
      </c>
    </row>
    <row r="5" ht="36" customHeight="1" spans="1:6" x14ac:dyDescent="0.25">
      <c r="A5" s="19" t="s">
        <v>33</v>
      </c>
      <c r="B5" s="20" t="s">
        <v>34</v>
      </c>
      <c r="C5" s="11">
        <v>0</v>
      </c>
      <c r="D5" s="21">
        <f>INDEX(Rules!$D$3:$K$1000,MATCH("salary",Rules!$A$3:$A$1000,0),MATCH(Conference&amp;" — Status",Rules!$D$2:$K$2,0))</f>
      </c>
      <c r="E5" s="22">
        <f>IF(OR(D5="include",D5="review"),C5,0)</f>
      </c>
      <c r="F5" s="23">
        <f>INDEX(Rules!$D$3:$K$1000,MATCH("salary",Rules!$A$3:$A$1000,0),MATCH(Conference&amp;" — Citation",Rules!$D$2:$K$2,0))</f>
      </c>
    </row>
    <row r="6" ht="36" customHeight="1" spans="1:6" x14ac:dyDescent="0.25">
      <c r="A6" s="19" t="s">
        <v>33</v>
      </c>
      <c r="B6" s="20" t="s">
        <v>35</v>
      </c>
      <c r="C6" s="11">
        <v>0</v>
      </c>
      <c r="D6" s="21">
        <f>INDEX(Rules!$D$3:$K$1000,MATCH("housing",Rules!$A$3:$A$1000,0),MATCH(Conference&amp;" — Status",Rules!$D$2:$K$2,0))</f>
      </c>
      <c r="E6" s="22">
        <f>IF(OR(D6="include",D6="review"),C6,0)</f>
      </c>
      <c r="F6" s="23">
        <f>INDEX(Rules!$D$3:$K$1000,MATCH("housing",Rules!$A$3:$A$1000,0),MATCH(Conference&amp;" — Citation",Rules!$D$2:$K$2,0))</f>
      </c>
    </row>
    <row r="7" ht="36" customHeight="1" spans="1:6" x14ac:dyDescent="0.25">
      <c r="A7" s="19" t="s">
        <v>33</v>
      </c>
      <c r="B7" s="20" t="s">
        <v>36</v>
      </c>
      <c r="C7" s="11">
        <v>0</v>
      </c>
      <c r="D7" s="21">
        <f>INDEX(Rules!$D$3:$K$1000,MATCH("benefits",Rules!$A$3:$A$1000,0),MATCH(Conference&amp;" — Status",Rules!$D$2:$K$2,0))</f>
      </c>
      <c r="E7" s="22">
        <f>IF(OR(D7="include",D7="review"),C7,0)</f>
      </c>
      <c r="F7" s="23">
        <f>INDEX(Rules!$D$3:$K$1000,MATCH("benefits",Rules!$A$3:$A$1000,0),MATCH(Conference&amp;" — Citation",Rules!$D$2:$K$2,0))</f>
      </c>
    </row>
    <row r="8" ht="36" customHeight="1" spans="1:6" x14ac:dyDescent="0.25">
      <c r="A8" s="19" t="s">
        <v>33</v>
      </c>
      <c r="B8" s="20" t="s">
        <v>37</v>
      </c>
      <c r="C8" s="11">
        <v>0</v>
      </c>
      <c r="D8" s="21">
        <f>INDEX(Rules!$D$3:$K$1000,MATCH("seca",Rules!$A$3:$A$1000,0),MATCH(Conference&amp;" — Status",Rules!$D$2:$K$2,0))</f>
      </c>
      <c r="E8" s="22">
        <f>IF(OR(D8="include",D8="review"),C8,0)</f>
      </c>
      <c r="F8" s="23">
        <f>INDEX(Rules!$D$3:$K$1000,MATCH("seca",Rules!$A$3:$A$1000,0),MATCH(Conference&amp;" — Citation",Rules!$D$2:$K$2,0))</f>
      </c>
    </row>
    <row r="9" ht="36" customHeight="1" spans="1:6" x14ac:dyDescent="0.25">
      <c r="A9" s="19" t="s">
        <v>33</v>
      </c>
      <c r="B9" s="20" t="s">
        <v>38</v>
      </c>
      <c r="C9" s="11">
        <v>0</v>
      </c>
      <c r="D9" s="21">
        <f>INDEX(Rules!$D$3:$K$1000,MATCH("pastsvc",Rules!$A$3:$A$1000,0),MATCH(Conference&amp;" — Status",Rules!$D$2:$K$2,0))</f>
      </c>
      <c r="E9" s="22">
        <f>IF(OR(D9="include",D9="review"),C9,0)</f>
      </c>
      <c r="F9" s="23">
        <f>INDEX(Rules!$D$3:$K$1000,MATCH("pastsvc",Rules!$A$3:$A$1000,0),MATCH(Conference&amp;" — Citation",Rules!$D$2:$K$2,0))</f>
      </c>
    </row>
    <row r="10" ht="8" customHeight="1" x14ac:dyDescent="0.25"/>
    <row r="11" ht="36" customHeight="1" spans="1:6" x14ac:dyDescent="0.25">
      <c r="A11" s="19" t="s">
        <v>39</v>
      </c>
      <c r="B11" s="20" t="s">
        <v>40</v>
      </c>
      <c r="C11" s="11">
        <v>0</v>
      </c>
      <c r="D11" s="21">
        <f>INDEX(Rules!$D$3:$K$1000,MATCH("utilities",Rules!$A$3:$A$1000,0),MATCH(Conference&amp;" — Status",Rules!$D$2:$K$2,0))</f>
      </c>
      <c r="E11" s="22">
        <f>IF(OR(D11="include",D11="review"),C11,0)</f>
      </c>
      <c r="F11" s="23">
        <f>INDEX(Rules!$D$3:$K$1000,MATCH("utilities",Rules!$A$3:$A$1000,0),MATCH(Conference&amp;" — Citation",Rules!$D$2:$K$2,0))</f>
      </c>
    </row>
    <row r="12" ht="36" customHeight="1" spans="1:6" x14ac:dyDescent="0.25">
      <c r="A12" s="19" t="s">
        <v>39</v>
      </c>
      <c r="B12" s="20" t="s">
        <v>41</v>
      </c>
      <c r="C12" s="11">
        <v>0</v>
      </c>
      <c r="D12" s="21">
        <f>INDEX(Rules!$D$3:$K$1000,MATCH("office",Rules!$A$3:$A$1000,0),MATCH(Conference&amp;" — Status",Rules!$D$2:$K$2,0))</f>
      </c>
      <c r="E12" s="22">
        <f>IF(OR(D12="include",D12="review"),C12,0)</f>
      </c>
      <c r="F12" s="23">
        <f>INDEX(Rules!$D$3:$K$1000,MATCH("office",Rules!$A$3:$A$1000,0),MATCH(Conference&amp;" — Citation",Rules!$D$2:$K$2,0))</f>
      </c>
    </row>
    <row r="13" ht="36" customHeight="1" spans="1:6" x14ac:dyDescent="0.25">
      <c r="A13" s="19" t="s">
        <v>39</v>
      </c>
      <c r="B13" s="20" t="s">
        <v>42</v>
      </c>
      <c r="C13" s="11">
        <v>0</v>
      </c>
      <c r="D13" s="21">
        <f>INDEX(Rules!$D$3:$K$1000,MATCH("insurance",Rules!$A$3:$A$1000,0),MATCH(Conference&amp;" — Status",Rules!$D$2:$K$2,0))</f>
      </c>
      <c r="E13" s="22">
        <f>IF(OR(D13="include",D13="review"),C13,0)</f>
      </c>
      <c r="F13" s="23">
        <f>INDEX(Rules!$D$3:$K$1000,MATCH("insurance",Rules!$A$3:$A$1000,0),MATCH(Conference&amp;" — Citation",Rules!$D$2:$K$2,0))</f>
      </c>
    </row>
    <row r="14" ht="36" customHeight="1" spans="1:6" x14ac:dyDescent="0.25">
      <c r="A14" s="19" t="s">
        <v>39</v>
      </c>
      <c r="B14" s="20" t="s">
        <v>43</v>
      </c>
      <c r="C14" s="11">
        <v>0</v>
      </c>
      <c r="D14" s="21">
        <f>INDEX(Rules!$D$3:$K$1000,MATCH("maint",Rules!$A$3:$A$1000,0),MATCH(Conference&amp;" — Status",Rules!$D$2:$K$2,0))</f>
      </c>
      <c r="E14" s="22">
        <f>IF(OR(D14="include",D14="review"),C14,0)</f>
      </c>
      <c r="F14" s="23">
        <f>INDEX(Rules!$D$3:$K$1000,MATCH("maint",Rules!$A$3:$A$1000,0),MATCH(Conference&amp;" — Citation",Rules!$D$2:$K$2,0))</f>
      </c>
    </row>
    <row r="15" ht="36" customHeight="1" spans="1:6" x14ac:dyDescent="0.25">
      <c r="A15" s="19" t="s">
        <v>39</v>
      </c>
      <c r="B15" s="20" t="s">
        <v>44</v>
      </c>
      <c r="C15" s="11">
        <v>0</v>
      </c>
      <c r="D15" s="21">
        <f>INDEX(Rules!$D$3:$K$1000,MATCH("interest",Rules!$A$3:$A$1000,0),MATCH(Conference&amp;" — Status",Rules!$D$2:$K$2,0))</f>
      </c>
      <c r="E15" s="22">
        <f>IF(OR(D15="include",D15="review"),C15,0)</f>
      </c>
      <c r="F15" s="23">
        <f>INDEX(Rules!$D$3:$K$1000,MATCH("interest",Rules!$A$3:$A$1000,0),MATCH(Conference&amp;" — Citation",Rules!$D$2:$K$2,0))</f>
      </c>
    </row>
    <row r="16" ht="8" customHeight="1" x14ac:dyDescent="0.25"/>
    <row r="17" ht="36" customHeight="1" spans="1:6" x14ac:dyDescent="0.25">
      <c r="A17" s="19" t="s">
        <v>45</v>
      </c>
      <c r="B17" s="20" t="s">
        <v>46</v>
      </c>
      <c r="C17" s="11">
        <v>0</v>
      </c>
      <c r="D17" s="21">
        <f>INDEX(Rules!$D$3:$K$1000,MATCH("youth",Rules!$A$3:$A$1000,0),MATCH(Conference&amp;" — Status",Rules!$D$2:$K$2,0))</f>
      </c>
      <c r="E17" s="22">
        <f>IF(OR(D17="include",D17="review"),C17,0)</f>
      </c>
      <c r="F17" s="23">
        <f>INDEX(Rules!$D$3:$K$1000,MATCH("youth",Rules!$A$3:$A$1000,0),MATCH(Conference&amp;" — Citation",Rules!$D$2:$K$2,0))</f>
      </c>
    </row>
    <row r="18" ht="36" customHeight="1" spans="1:6" x14ac:dyDescent="0.25">
      <c r="A18" s="19" t="s">
        <v>45</v>
      </c>
      <c r="B18" s="20" t="s">
        <v>47</v>
      </c>
      <c r="C18" s="11">
        <v>0</v>
      </c>
      <c r="D18" s="21">
        <f>INDEX(Rules!$D$3:$K$1000,MATCH("worship",Rules!$A$3:$A$1000,0),MATCH(Conference&amp;" — Status",Rules!$D$2:$K$2,0))</f>
      </c>
      <c r="E18" s="22">
        <f>IF(OR(D18="include",D18="review"),C18,0)</f>
      </c>
      <c r="F18" s="23">
        <f>INDEX(Rules!$D$3:$K$1000,MATCH("worship",Rules!$A$3:$A$1000,0),MATCH(Conference&amp;" — Citation",Rules!$D$2:$K$2,0))</f>
      </c>
    </row>
    <row r="19" ht="36" customHeight="1" spans="1:6" x14ac:dyDescent="0.25">
      <c r="A19" s="19" t="s">
        <v>45</v>
      </c>
      <c r="B19" s="20" t="s">
        <v>48</v>
      </c>
      <c r="C19" s="11">
        <v>0</v>
      </c>
      <c r="D19" s="21">
        <f>INDEX(Rules!$D$3:$K$1000,MATCH("education",Rules!$A$3:$A$1000,0),MATCH(Conference&amp;" — Status",Rules!$D$2:$K$2,0))</f>
      </c>
      <c r="E19" s="22">
        <f>IF(OR(D19="include",D19="review"),C19,0)</f>
      </c>
      <c r="F19" s="23">
        <f>INDEX(Rules!$D$3:$K$1000,MATCH("education",Rules!$A$3:$A$1000,0),MATCH(Conference&amp;" — Citation",Rules!$D$2:$K$2,0))</f>
      </c>
    </row>
    <row r="20" ht="36" customHeight="1" spans="1:6" x14ac:dyDescent="0.25">
      <c r="A20" s="19" t="s">
        <v>45</v>
      </c>
      <c r="B20" s="20" t="s">
        <v>49</v>
      </c>
      <c r="C20" s="11">
        <v>0</v>
      </c>
      <c r="D20" s="21">
        <f>INDEX(Rules!$D$3:$K$1000,MATCH("outreach",Rules!$A$3:$A$1000,0),MATCH(Conference&amp;" — Status",Rules!$D$2:$K$2,0))</f>
      </c>
      <c r="E20" s="22">
        <f>IF(OR(D20="include",D20="review"),C20,0)</f>
      </c>
      <c r="F20" s="23">
        <f>INDEX(Rules!$D$3:$K$1000,MATCH("outreach",Rules!$A$3:$A$1000,0),MATCH(Conference&amp;" — Citation",Rules!$D$2:$K$2,0))</f>
      </c>
    </row>
    <row r="21" ht="36" customHeight="1" spans="1:6" x14ac:dyDescent="0.25">
      <c r="A21" s="19" t="s">
        <v>45</v>
      </c>
      <c r="B21" s="20" t="s">
        <v>50</v>
      </c>
      <c r="C21" s="11">
        <v>0</v>
      </c>
      <c r="D21" s="21">
        <f>INDEX(Rules!$D$3:$K$1000,MATCH("events",Rules!$A$3:$A$1000,0),MATCH(Conference&amp;" — Status",Rules!$D$2:$K$2,0))</f>
      </c>
      <c r="E21" s="22">
        <f>IF(OR(D21="include",D21="review"),C21,0)</f>
      </c>
      <c r="F21" s="23">
        <f>INDEX(Rules!$D$3:$K$1000,MATCH("events",Rules!$A$3:$A$1000,0),MATCH(Conference&amp;" — Citation",Rules!$D$2:$K$2,0))</f>
      </c>
    </row>
    <row r="22" ht="8" customHeight="1" x14ac:dyDescent="0.25"/>
    <row r="23" ht="36" customHeight="1" spans="1:6" x14ac:dyDescent="0.25">
      <c r="A23" s="19" t="s">
        <v>51</v>
      </c>
      <c r="B23" s="20" t="s">
        <v>52</v>
      </c>
      <c r="C23" s="11">
        <v>0</v>
      </c>
      <c r="D23" s="21">
        <f>INDEX(Rules!$D$3:$K$1000,MATCH("new-build",Rules!$A$3:$A$1000,0),MATCH(Conference&amp;" — Status",Rules!$D$2:$K$2,0))</f>
      </c>
      <c r="E23" s="22">
        <f>IF(OR(D23="include",D23="review"),C23,0)</f>
      </c>
      <c r="F23" s="23">
        <f>INDEX(Rules!$D$3:$K$1000,MATCH("new-build",Rules!$A$3:$A$1000,0),MATCH(Conference&amp;" — Citation",Rules!$D$2:$K$2,0))</f>
      </c>
    </row>
    <row r="24" ht="36" customHeight="1" spans="1:6" x14ac:dyDescent="0.25">
      <c r="A24" s="19" t="s">
        <v>51</v>
      </c>
      <c r="B24" s="20" t="s">
        <v>53</v>
      </c>
      <c r="C24" s="11">
        <v>0</v>
      </c>
      <c r="D24" s="21">
        <f>INDEX(Rules!$D$3:$K$1000,MATCH("renovation",Rules!$A$3:$A$1000,0),MATCH(Conference&amp;" — Status",Rules!$D$2:$K$2,0))</f>
      </c>
      <c r="E24" s="22">
        <f>IF(OR(D24="include",D24="review"),C24,0)</f>
      </c>
      <c r="F24" s="23">
        <f>INDEX(Rules!$D$3:$K$1000,MATCH("renovation",Rules!$A$3:$A$1000,0),MATCH(Conference&amp;" — Citation",Rules!$D$2:$K$2,0))</f>
      </c>
    </row>
    <row r="25" ht="36" customHeight="1" spans="1:6" x14ac:dyDescent="0.25">
      <c r="A25" s="19" t="s">
        <v>51</v>
      </c>
      <c r="B25" s="20" t="s">
        <v>54</v>
      </c>
      <c r="C25" s="11">
        <v>0</v>
      </c>
      <c r="D25" s="21">
        <f>INDEX(Rules!$D$3:$K$1000,MATCH("equipment",Rules!$A$3:$A$1000,0),MATCH(Conference&amp;" — Status",Rules!$D$2:$K$2,0))</f>
      </c>
      <c r="E25" s="22">
        <f>IF(OR(D25="include",D25="review"),C25,0)</f>
      </c>
      <c r="F25" s="23">
        <f>INDEX(Rules!$D$3:$K$1000,MATCH("equipment",Rules!$A$3:$A$1000,0),MATCH(Conference&amp;" — Citation",Rules!$D$2:$K$2,0))</f>
      </c>
    </row>
    <row r="26" ht="36" customHeight="1" spans="1:6" x14ac:dyDescent="0.25">
      <c r="A26" s="19" t="s">
        <v>51</v>
      </c>
      <c r="B26" s="20" t="s">
        <v>55</v>
      </c>
      <c r="C26" s="11">
        <v>0</v>
      </c>
      <c r="D26" s="21">
        <f>INDEX(Rules!$D$3:$K$1000,MATCH("principal",Rules!$A$3:$A$1000,0),MATCH(Conference&amp;" — Status",Rules!$D$2:$K$2,0))</f>
      </c>
      <c r="E26" s="22">
        <f>IF(OR(D26="include",D26="review"),C26,0)</f>
      </c>
      <c r="F26" s="23">
        <f>INDEX(Rules!$D$3:$K$1000,MATCH("principal",Rules!$A$3:$A$1000,0),MATCH(Conference&amp;" — Citation",Rules!$D$2:$K$2,0))</f>
      </c>
    </row>
    <row r="27" ht="36" customHeight="1" spans="1:6" x14ac:dyDescent="0.25">
      <c r="A27" s="19" t="s">
        <v>51</v>
      </c>
      <c r="B27" s="20" t="s">
        <v>56</v>
      </c>
      <c r="C27" s="11">
        <v>0</v>
      </c>
      <c r="D27" s="21">
        <f>INDEX(Rules!$D$3:$K$1000,MATCH("land",Rules!$A$3:$A$1000,0),MATCH(Conference&amp;" — Status",Rules!$D$2:$K$2,0))</f>
      </c>
      <c r="E27" s="22">
        <f>IF(OR(D27="include",D27="review"),C27,0)</f>
      </c>
      <c r="F27" s="23">
        <f>INDEX(Rules!$D$3:$K$1000,MATCH("land",Rules!$A$3:$A$1000,0),MATCH(Conference&amp;" — Citation",Rules!$D$2:$K$2,0))</f>
      </c>
    </row>
    <row r="28" ht="8" customHeight="1" x14ac:dyDescent="0.25"/>
    <row r="29" ht="36" customHeight="1" spans="1:6" x14ac:dyDescent="0.25">
      <c r="A29" s="19" t="s">
        <v>57</v>
      </c>
      <c r="B29" s="20" t="s">
        <v>58</v>
      </c>
      <c r="C29" s="11">
        <v>0</v>
      </c>
      <c r="D29" s="21">
        <f>INDEX(Rules!$D$3:$K$1000,MATCH("apport-paid",Rules!$A$3:$A$1000,0),MATCH(Conference&amp;" — Status",Rules!$D$2:$K$2,0))</f>
      </c>
      <c r="E29" s="22">
        <f>IF(OR(D29="include",D29="review"),C29,0)</f>
      </c>
      <c r="F29" s="23">
        <f>INDEX(Rules!$D$3:$K$1000,MATCH("apport-paid",Rules!$A$3:$A$1000,0),MATCH(Conference&amp;" — Citation",Rules!$D$2:$K$2,0))</f>
      </c>
    </row>
    <row r="30" ht="36" customHeight="1" spans="1:6" x14ac:dyDescent="0.25">
      <c r="A30" s="19" t="s">
        <v>57</v>
      </c>
      <c r="B30" s="20" t="s">
        <v>59</v>
      </c>
      <c r="C30" s="11">
        <v>0</v>
      </c>
      <c r="D30" s="21">
        <f>INDEX(Rules!$D$3:$K$1000,MATCH("gen-advance",Rules!$A$3:$A$1000,0),MATCH(Conference&amp;" — Status",Rules!$D$2:$K$2,0))</f>
      </c>
      <c r="E30" s="22">
        <f>IF(OR(D30="include",D30="review"),C30,0)</f>
      </c>
      <c r="F30" s="23">
        <f>INDEX(Rules!$D$3:$K$1000,MATCH("gen-advance",Rules!$A$3:$A$1000,0),MATCH(Conference&amp;" — Citation",Rules!$D$2:$K$2,0))</f>
      </c>
    </row>
    <row r="31" ht="36" customHeight="1" spans="1:6" x14ac:dyDescent="0.25">
      <c r="A31" s="19" t="s">
        <v>57</v>
      </c>
      <c r="B31" s="20" t="s">
        <v>60</v>
      </c>
      <c r="C31" s="11">
        <v>0</v>
      </c>
      <c r="D31" s="21">
        <f>INDEX(Rules!$D$3:$K$1000,MATCH("conf-advance",Rules!$A$3:$A$1000,0),MATCH(Conference&amp;" — Status",Rules!$D$2:$K$2,0))</f>
      </c>
      <c r="E31" s="22">
        <f>IF(OR(D31="include",D31="review"),C31,0)</f>
      </c>
      <c r="F31" s="23">
        <f>INDEX(Rules!$D$3:$K$1000,MATCH("conf-advance",Rules!$A$3:$A$1000,0),MATCH(Conference&amp;" — Citation",Rules!$D$2:$K$2,0))</f>
      </c>
    </row>
    <row r="32" ht="36" customHeight="1" spans="1:6" x14ac:dyDescent="0.25">
      <c r="A32" s="19" t="s">
        <v>57</v>
      </c>
      <c r="B32" s="20" t="s">
        <v>61</v>
      </c>
      <c r="C32" s="11">
        <v>0</v>
      </c>
      <c r="D32" s="21">
        <f>INDEX(Rules!$D$3:$K$1000,MATCH("umcor",Rules!$A$3:$A$1000,0),MATCH(Conference&amp;" — Status",Rules!$D$2:$K$2,0))</f>
      </c>
      <c r="E32" s="22">
        <f>IF(OR(D32="include",D32="review"),C32,0)</f>
      </c>
      <c r="F32" s="23">
        <f>INDEX(Rules!$D$3:$K$1000,MATCH("umcor",Rules!$A$3:$A$1000,0),MATCH(Conference&amp;" — Citation",Rules!$D$2:$K$2,0))</f>
      </c>
    </row>
    <row r="33" ht="36" customHeight="1" spans="1:6" x14ac:dyDescent="0.25">
      <c r="A33" s="19" t="s">
        <v>57</v>
      </c>
      <c r="B33" s="20" t="s">
        <v>62</v>
      </c>
      <c r="C33" s="11">
        <v>0</v>
      </c>
      <c r="D33" s="21">
        <f>INDEX(Rules!$D$3:$K$1000,MATCH("other-benev",Rules!$A$3:$A$1000,0),MATCH(Conference&amp;" — Status",Rules!$D$2:$K$2,0))</f>
      </c>
      <c r="E33" s="22">
        <f>IF(OR(D33="include",D33="review"),C33,0)</f>
      </c>
      <c r="F33" s="23">
        <f>INDEX(Rules!$D$3:$K$1000,MATCH("other-benev",Rules!$A$3:$A$1000,0),MATCH(Conference&amp;" — Citation",Rules!$D$2:$K$2,0))</f>
      </c>
    </row>
    <row r="34" ht="8" customHeight="1" x14ac:dyDescent="0.25"/>
    <row r="35" ht="36" customHeight="1" spans="1:6" x14ac:dyDescent="0.25">
      <c r="A35" s="19" t="s">
        <v>63</v>
      </c>
      <c r="B35" s="20" t="s">
        <v>64</v>
      </c>
      <c r="C35" s="11">
        <v>0</v>
      </c>
      <c r="D35" s="21">
        <f>INDEX(Rules!$D$3:$K$1000,MATCH("misc",Rules!$A$3:$A$1000,0),MATCH(Conference&amp;" — Status",Rules!$D$2:$K$2,0))</f>
      </c>
      <c r="E35" s="22">
        <f>IF(OR(D35="include",D35="review"),C35,0)</f>
      </c>
      <c r="F35" s="23">
        <f>INDEX(Rules!$D$3:$K$1000,MATCH("misc",Rules!$A$3:$A$1000,0),MATCH(Conference&amp;" — Citation",Rules!$D$2:$K$2,0))</f>
      </c>
    </row>
    <row r="36" ht="8" customHeight="1" x14ac:dyDescent="0.25"/>
    <row r="38" spans="1:6" x14ac:dyDescent="0.25">
      <c r="A38" s="24" t="s">
        <v>65</v>
      </c>
      <c r="C38" s="25">
        <f>SUM(C5:C35)</f>
      </c>
      <c r="E38" s="26">
        <f>SUM(E5:E35)</f>
      </c>
      <c r="F38" s="27" t="s">
        <v>66</v>
      </c>
    </row>
  </sheetData>
  <mergeCells count="2">
    <mergeCell ref="A1:F1"/>
    <mergeCell ref="A2:F2"/>
  </mergeCells>
  <conditionalFormatting sqref="D5">
    <cfRule type="containsText" dxfId="0" priority="1">
      <formula>NOT(ISERROR(SEARCH("include",D5)))</formula>
    </cfRule>
    <cfRule type="containsText" dxfId="1" priority="2">
      <formula>NOT(ISERROR(SEARCH("exclude",D5)))</formula>
    </cfRule>
    <cfRule type="containsText" dxfId="2" priority="3">
      <formula>NOT(ISERROR(SEARCH("review",D5)))</formula>
    </cfRule>
  </conditionalFormatting>
  <conditionalFormatting sqref="D6">
    <cfRule type="containsText" dxfId="3" priority="1">
      <formula>NOT(ISERROR(SEARCH("include",D6)))</formula>
    </cfRule>
    <cfRule type="containsText" dxfId="4" priority="2">
      <formula>NOT(ISERROR(SEARCH("exclude",D6)))</formula>
    </cfRule>
    <cfRule type="containsText" dxfId="5" priority="3">
      <formula>NOT(ISERROR(SEARCH("review",D6)))</formula>
    </cfRule>
  </conditionalFormatting>
  <conditionalFormatting sqref="D7">
    <cfRule type="containsText" dxfId="6" priority="1">
      <formula>NOT(ISERROR(SEARCH("include",D7)))</formula>
    </cfRule>
    <cfRule type="containsText" dxfId="7" priority="2">
      <formula>NOT(ISERROR(SEARCH("exclude",D7)))</formula>
    </cfRule>
    <cfRule type="containsText" dxfId="8" priority="3">
      <formula>NOT(ISERROR(SEARCH("review",D7)))</formula>
    </cfRule>
  </conditionalFormatting>
  <conditionalFormatting sqref="D8">
    <cfRule type="containsText" dxfId="9" priority="1">
      <formula>NOT(ISERROR(SEARCH("include",D8)))</formula>
    </cfRule>
    <cfRule type="containsText" dxfId="10" priority="2">
      <formula>NOT(ISERROR(SEARCH("exclude",D8)))</formula>
    </cfRule>
    <cfRule type="containsText" dxfId="11" priority="3">
      <formula>NOT(ISERROR(SEARCH("review",D8)))</formula>
    </cfRule>
  </conditionalFormatting>
  <conditionalFormatting sqref="D9">
    <cfRule type="containsText" dxfId="12" priority="1">
      <formula>NOT(ISERROR(SEARCH("include",D9)))</formula>
    </cfRule>
    <cfRule type="containsText" dxfId="13" priority="2">
      <formula>NOT(ISERROR(SEARCH("exclude",D9)))</formula>
    </cfRule>
    <cfRule type="containsText" dxfId="14" priority="3">
      <formula>NOT(ISERROR(SEARCH("review",D9)))</formula>
    </cfRule>
  </conditionalFormatting>
  <conditionalFormatting sqref="D11">
    <cfRule type="containsText" dxfId="15" priority="1">
      <formula>NOT(ISERROR(SEARCH("include",D11)))</formula>
    </cfRule>
    <cfRule type="containsText" dxfId="16" priority="2">
      <formula>NOT(ISERROR(SEARCH("exclude",D11)))</formula>
    </cfRule>
    <cfRule type="containsText" dxfId="17" priority="3">
      <formula>NOT(ISERROR(SEARCH("review",D11)))</formula>
    </cfRule>
  </conditionalFormatting>
  <conditionalFormatting sqref="D12">
    <cfRule type="containsText" dxfId="18" priority="1">
      <formula>NOT(ISERROR(SEARCH("include",D12)))</formula>
    </cfRule>
    <cfRule type="containsText" dxfId="19" priority="2">
      <formula>NOT(ISERROR(SEARCH("exclude",D12)))</formula>
    </cfRule>
    <cfRule type="containsText" dxfId="20" priority="3">
      <formula>NOT(ISERROR(SEARCH("review",D12)))</formula>
    </cfRule>
  </conditionalFormatting>
  <conditionalFormatting sqref="D13">
    <cfRule type="containsText" dxfId="21" priority="1">
      <formula>NOT(ISERROR(SEARCH("include",D13)))</formula>
    </cfRule>
    <cfRule type="containsText" dxfId="22" priority="2">
      <formula>NOT(ISERROR(SEARCH("exclude",D13)))</formula>
    </cfRule>
    <cfRule type="containsText" dxfId="23" priority="3">
      <formula>NOT(ISERROR(SEARCH("review",D13)))</formula>
    </cfRule>
  </conditionalFormatting>
  <conditionalFormatting sqref="D14">
    <cfRule type="containsText" dxfId="24" priority="1">
      <formula>NOT(ISERROR(SEARCH("include",D14)))</formula>
    </cfRule>
    <cfRule type="containsText" dxfId="25" priority="2">
      <formula>NOT(ISERROR(SEARCH("exclude",D14)))</formula>
    </cfRule>
    <cfRule type="containsText" dxfId="26" priority="3">
      <formula>NOT(ISERROR(SEARCH("review",D14)))</formula>
    </cfRule>
  </conditionalFormatting>
  <conditionalFormatting sqref="D15">
    <cfRule type="containsText" dxfId="27" priority="1">
      <formula>NOT(ISERROR(SEARCH("include",D15)))</formula>
    </cfRule>
    <cfRule type="containsText" dxfId="28" priority="2">
      <formula>NOT(ISERROR(SEARCH("exclude",D15)))</formula>
    </cfRule>
    <cfRule type="containsText" dxfId="29" priority="3">
      <formula>NOT(ISERROR(SEARCH("review",D15)))</formula>
    </cfRule>
  </conditionalFormatting>
  <conditionalFormatting sqref="D17">
    <cfRule type="containsText" dxfId="30" priority="1">
      <formula>NOT(ISERROR(SEARCH("include",D17)))</formula>
    </cfRule>
    <cfRule type="containsText" dxfId="31" priority="2">
      <formula>NOT(ISERROR(SEARCH("exclude",D17)))</formula>
    </cfRule>
    <cfRule type="containsText" dxfId="32" priority="3">
      <formula>NOT(ISERROR(SEARCH("review",D17)))</formula>
    </cfRule>
  </conditionalFormatting>
  <conditionalFormatting sqref="D18">
    <cfRule type="containsText" dxfId="33" priority="1">
      <formula>NOT(ISERROR(SEARCH("include",D18)))</formula>
    </cfRule>
    <cfRule type="containsText" dxfId="34" priority="2">
      <formula>NOT(ISERROR(SEARCH("exclude",D18)))</formula>
    </cfRule>
    <cfRule type="containsText" dxfId="35" priority="3">
      <formula>NOT(ISERROR(SEARCH("review",D18)))</formula>
    </cfRule>
  </conditionalFormatting>
  <conditionalFormatting sqref="D19">
    <cfRule type="containsText" dxfId="36" priority="1">
      <formula>NOT(ISERROR(SEARCH("include",D19)))</formula>
    </cfRule>
    <cfRule type="containsText" dxfId="37" priority="2">
      <formula>NOT(ISERROR(SEARCH("exclude",D19)))</formula>
    </cfRule>
    <cfRule type="containsText" dxfId="38" priority="3">
      <formula>NOT(ISERROR(SEARCH("review",D19)))</formula>
    </cfRule>
  </conditionalFormatting>
  <conditionalFormatting sqref="D20">
    <cfRule type="containsText" dxfId="39" priority="1">
      <formula>NOT(ISERROR(SEARCH("include",D20)))</formula>
    </cfRule>
    <cfRule type="containsText" dxfId="40" priority="2">
      <formula>NOT(ISERROR(SEARCH("exclude",D20)))</formula>
    </cfRule>
    <cfRule type="containsText" dxfId="41" priority="3">
      <formula>NOT(ISERROR(SEARCH("review",D20)))</formula>
    </cfRule>
  </conditionalFormatting>
  <conditionalFormatting sqref="D21">
    <cfRule type="containsText" dxfId="42" priority="1">
      <formula>NOT(ISERROR(SEARCH("include",D21)))</formula>
    </cfRule>
    <cfRule type="containsText" dxfId="43" priority="2">
      <formula>NOT(ISERROR(SEARCH("exclude",D21)))</formula>
    </cfRule>
    <cfRule type="containsText" dxfId="44" priority="3">
      <formula>NOT(ISERROR(SEARCH("review",D21)))</formula>
    </cfRule>
  </conditionalFormatting>
  <conditionalFormatting sqref="D23">
    <cfRule type="containsText" dxfId="45" priority="1">
      <formula>NOT(ISERROR(SEARCH("include",D23)))</formula>
    </cfRule>
    <cfRule type="containsText" dxfId="46" priority="2">
      <formula>NOT(ISERROR(SEARCH("exclude",D23)))</formula>
    </cfRule>
    <cfRule type="containsText" dxfId="47" priority="3">
      <formula>NOT(ISERROR(SEARCH("review",D23)))</formula>
    </cfRule>
  </conditionalFormatting>
  <conditionalFormatting sqref="D24">
    <cfRule type="containsText" dxfId="48" priority="1">
      <formula>NOT(ISERROR(SEARCH("include",D24)))</formula>
    </cfRule>
    <cfRule type="containsText" dxfId="49" priority="2">
      <formula>NOT(ISERROR(SEARCH("exclude",D24)))</formula>
    </cfRule>
    <cfRule type="containsText" dxfId="50" priority="3">
      <formula>NOT(ISERROR(SEARCH("review",D24)))</formula>
    </cfRule>
  </conditionalFormatting>
  <conditionalFormatting sqref="D25">
    <cfRule type="containsText" dxfId="51" priority="1">
      <formula>NOT(ISERROR(SEARCH("include",D25)))</formula>
    </cfRule>
    <cfRule type="containsText" dxfId="52" priority="2">
      <formula>NOT(ISERROR(SEARCH("exclude",D25)))</formula>
    </cfRule>
    <cfRule type="containsText" dxfId="53" priority="3">
      <formula>NOT(ISERROR(SEARCH("review",D25)))</formula>
    </cfRule>
  </conditionalFormatting>
  <conditionalFormatting sqref="D26">
    <cfRule type="containsText" dxfId="54" priority="1">
      <formula>NOT(ISERROR(SEARCH("include",D26)))</formula>
    </cfRule>
    <cfRule type="containsText" dxfId="55" priority="2">
      <formula>NOT(ISERROR(SEARCH("exclude",D26)))</formula>
    </cfRule>
    <cfRule type="containsText" dxfId="56" priority="3">
      <formula>NOT(ISERROR(SEARCH("review",D26)))</formula>
    </cfRule>
  </conditionalFormatting>
  <conditionalFormatting sqref="D27">
    <cfRule type="containsText" dxfId="57" priority="1">
      <formula>NOT(ISERROR(SEARCH("include",D27)))</formula>
    </cfRule>
    <cfRule type="containsText" dxfId="58" priority="2">
      <formula>NOT(ISERROR(SEARCH("exclude",D27)))</formula>
    </cfRule>
    <cfRule type="containsText" dxfId="59" priority="3">
      <formula>NOT(ISERROR(SEARCH("review",D27)))</formula>
    </cfRule>
  </conditionalFormatting>
  <conditionalFormatting sqref="D29">
    <cfRule type="containsText" dxfId="60" priority="1">
      <formula>NOT(ISERROR(SEARCH("include",D29)))</formula>
    </cfRule>
    <cfRule type="containsText" dxfId="61" priority="2">
      <formula>NOT(ISERROR(SEARCH("exclude",D29)))</formula>
    </cfRule>
    <cfRule type="containsText" dxfId="62" priority="3">
      <formula>NOT(ISERROR(SEARCH("review",D29)))</formula>
    </cfRule>
  </conditionalFormatting>
  <conditionalFormatting sqref="D30">
    <cfRule type="containsText" dxfId="63" priority="1">
      <formula>NOT(ISERROR(SEARCH("include",D30)))</formula>
    </cfRule>
    <cfRule type="containsText" dxfId="64" priority="2">
      <formula>NOT(ISERROR(SEARCH("exclude",D30)))</formula>
    </cfRule>
    <cfRule type="containsText" dxfId="65" priority="3">
      <formula>NOT(ISERROR(SEARCH("review",D30)))</formula>
    </cfRule>
  </conditionalFormatting>
  <conditionalFormatting sqref="D31">
    <cfRule type="containsText" dxfId="66" priority="1">
      <formula>NOT(ISERROR(SEARCH("include",D31)))</formula>
    </cfRule>
    <cfRule type="containsText" dxfId="67" priority="2">
      <formula>NOT(ISERROR(SEARCH("exclude",D31)))</formula>
    </cfRule>
    <cfRule type="containsText" dxfId="68" priority="3">
      <formula>NOT(ISERROR(SEARCH("review",D31)))</formula>
    </cfRule>
  </conditionalFormatting>
  <conditionalFormatting sqref="D32">
    <cfRule type="containsText" dxfId="69" priority="1">
      <formula>NOT(ISERROR(SEARCH("include",D32)))</formula>
    </cfRule>
    <cfRule type="containsText" dxfId="70" priority="2">
      <formula>NOT(ISERROR(SEARCH("exclude",D32)))</formula>
    </cfRule>
    <cfRule type="containsText" dxfId="71" priority="3">
      <formula>NOT(ISERROR(SEARCH("review",D32)))</formula>
    </cfRule>
  </conditionalFormatting>
  <conditionalFormatting sqref="D33">
    <cfRule type="containsText" dxfId="72" priority="1">
      <formula>NOT(ISERROR(SEARCH("include",D33)))</formula>
    </cfRule>
    <cfRule type="containsText" dxfId="73" priority="2">
      <formula>NOT(ISERROR(SEARCH("exclude",D33)))</formula>
    </cfRule>
    <cfRule type="containsText" dxfId="74" priority="3">
      <formula>NOT(ISERROR(SEARCH("review",D33)))</formula>
    </cfRule>
  </conditionalFormatting>
  <conditionalFormatting sqref="D35">
    <cfRule type="containsText" dxfId="75" priority="1">
      <formula>NOT(ISERROR(SEARCH("include",D35)))</formula>
    </cfRule>
    <cfRule type="containsText" dxfId="76" priority="2">
      <formula>NOT(ISERROR(SEARCH("exclude",D35)))</formula>
    </cfRule>
    <cfRule type="containsText" dxfId="77" priority="3">
      <formula>NOT(ISERROR(SEARCH("review",D35)))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C867A"/>
  </sheetPr>
  <dimension ref="A1:K28"/>
  <sheetViews>
    <sheetView workbookViewId="0" showGridLines="0">
      <pane xSplit="3" ySplit="2" topLeftCell="D3" activePane="bottomRight" state="frozen"/>
      <selection pane="bottomRight"/>
    </sheetView>
  </sheetViews>
  <sheetFormatPr defaultRowHeight="15" outlineLevelRow="0" outlineLevelCol="0" x14ac:dyDescent="55"/>
  <cols>
    <col min="1" max="1" width="18" customWidth="1"/>
    <col min="2" max="2" width="22" customWidth="1"/>
    <col min="3" max="3" width="34" customWidth="1"/>
    <col min="4" max="4" width="14" customWidth="1"/>
    <col min="5" max="5" width="52" customWidth="1"/>
    <col min="6" max="6" width="14" customWidth="1"/>
    <col min="7" max="7" width="52" customWidth="1"/>
    <col min="8" max="8" width="14" customWidth="1"/>
    <col min="9" max="9" width="52" customWidth="1"/>
    <col min="10" max="10" width="14" customWidth="1"/>
    <col min="11" max="11" width="52" customWidth="1"/>
  </cols>
  <sheetData>
    <row r="1" spans="1:11" x14ac:dyDescent="0.25">
      <c r="A1" s="8" t="s">
        <v>67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4" customHeight="1" spans="1:11" x14ac:dyDescent="0.25">
      <c r="A2" s="18" t="s">
        <v>68</v>
      </c>
      <c r="B2" s="18" t="s">
        <v>27</v>
      </c>
      <c r="C2" s="18" t="s">
        <v>28</v>
      </c>
      <c r="D2" s="18" t="s">
        <v>69</v>
      </c>
      <c r="E2" s="18" t="s">
        <v>70</v>
      </c>
      <c r="F2" s="18" t="s">
        <v>71</v>
      </c>
      <c r="G2" s="18" t="s">
        <v>72</v>
      </c>
      <c r="H2" s="18" t="s">
        <v>73</v>
      </c>
      <c r="I2" s="18" t="s">
        <v>74</v>
      </c>
      <c r="J2" s="18" t="s">
        <v>75</v>
      </c>
      <c r="K2" s="18" t="s">
        <v>76</v>
      </c>
    </row>
    <row r="3" ht="42" customHeight="1" spans="1:11" x14ac:dyDescent="0.25">
      <c r="A3" s="28" t="s">
        <v>77</v>
      </c>
      <c r="B3" s="19" t="s">
        <v>33</v>
      </c>
      <c r="C3" s="20" t="s">
        <v>34</v>
      </c>
      <c r="D3" s="29" t="s">
        <v>78</v>
      </c>
      <c r="E3" s="30" t="s">
        <v>79</v>
      </c>
      <c r="F3" s="29" t="s">
        <v>78</v>
      </c>
      <c r="G3" s="30" t="s">
        <v>79</v>
      </c>
      <c r="H3" s="29" t="s">
        <v>78</v>
      </c>
      <c r="I3" s="30" t="s">
        <v>79</v>
      </c>
      <c r="J3" s="29" t="s">
        <v>78</v>
      </c>
      <c r="K3" s="30" t="s">
        <v>79</v>
      </c>
    </row>
    <row r="4" ht="42" customHeight="1" spans="1:11" x14ac:dyDescent="0.25">
      <c r="A4" s="28" t="s">
        <v>80</v>
      </c>
      <c r="B4" s="19" t="s">
        <v>33</v>
      </c>
      <c r="C4" s="20" t="s">
        <v>35</v>
      </c>
      <c r="D4" s="29" t="s">
        <v>78</v>
      </c>
      <c r="E4" s="30" t="s">
        <v>79</v>
      </c>
      <c r="F4" s="29" t="s">
        <v>78</v>
      </c>
      <c r="G4" s="30" t="s">
        <v>79</v>
      </c>
      <c r="H4" s="29" t="s">
        <v>78</v>
      </c>
      <c r="I4" s="30" t="s">
        <v>79</v>
      </c>
      <c r="J4" s="29" t="s">
        <v>78</v>
      </c>
      <c r="K4" s="30" t="s">
        <v>79</v>
      </c>
    </row>
    <row r="5" ht="42" customHeight="1" spans="1:11" x14ac:dyDescent="0.25">
      <c r="A5" s="28" t="s">
        <v>81</v>
      </c>
      <c r="B5" s="19" t="s">
        <v>33</v>
      </c>
      <c r="C5" s="20" t="s">
        <v>36</v>
      </c>
      <c r="D5" s="29" t="s">
        <v>78</v>
      </c>
      <c r="E5" s="30" t="s">
        <v>82</v>
      </c>
      <c r="F5" s="31" t="s">
        <v>83</v>
      </c>
      <c r="G5" s="30" t="s">
        <v>84</v>
      </c>
      <c r="H5" s="32" t="s">
        <v>85</v>
      </c>
      <c r="I5" s="30" t="s">
        <v>86</v>
      </c>
      <c r="J5" s="31" t="s">
        <v>83</v>
      </c>
      <c r="K5" s="30" t="s">
        <v>87</v>
      </c>
    </row>
    <row r="6" ht="42" customHeight="1" spans="1:11" x14ac:dyDescent="0.25">
      <c r="A6" s="28" t="s">
        <v>88</v>
      </c>
      <c r="B6" s="19" t="s">
        <v>33</v>
      </c>
      <c r="C6" s="20" t="s">
        <v>37</v>
      </c>
      <c r="D6" s="29" t="s">
        <v>78</v>
      </c>
      <c r="E6" s="30" t="s">
        <v>89</v>
      </c>
      <c r="F6" s="29" t="s">
        <v>78</v>
      </c>
      <c r="G6" s="30" t="s">
        <v>89</v>
      </c>
      <c r="H6" s="29" t="s">
        <v>78</v>
      </c>
      <c r="I6" s="30" t="s">
        <v>89</v>
      </c>
      <c r="J6" s="29" t="s">
        <v>78</v>
      </c>
      <c r="K6" s="30" t="s">
        <v>89</v>
      </c>
    </row>
    <row r="7" ht="42" customHeight="1" spans="1:11" x14ac:dyDescent="0.25">
      <c r="A7" s="28" t="s">
        <v>90</v>
      </c>
      <c r="B7" s="19" t="s">
        <v>33</v>
      </c>
      <c r="C7" s="20" t="s">
        <v>38</v>
      </c>
      <c r="D7" s="31" t="s">
        <v>83</v>
      </c>
      <c r="E7" s="30" t="s">
        <v>91</v>
      </c>
      <c r="F7" s="31" t="s">
        <v>83</v>
      </c>
      <c r="G7" s="30" t="s">
        <v>91</v>
      </c>
      <c r="H7" s="31" t="s">
        <v>83</v>
      </c>
      <c r="I7" s="30" t="s">
        <v>91</v>
      </c>
      <c r="J7" s="31" t="s">
        <v>83</v>
      </c>
      <c r="K7" s="30" t="s">
        <v>91</v>
      </c>
    </row>
    <row r="8" ht="42" customHeight="1" spans="1:11" x14ac:dyDescent="0.25">
      <c r="A8" s="28" t="s">
        <v>92</v>
      </c>
      <c r="B8" s="19" t="s">
        <v>39</v>
      </c>
      <c r="C8" s="20" t="s">
        <v>40</v>
      </c>
      <c r="D8" s="29" t="s">
        <v>78</v>
      </c>
      <c r="E8" s="30" t="s">
        <v>93</v>
      </c>
      <c r="F8" s="29" t="s">
        <v>78</v>
      </c>
      <c r="G8" s="30" t="s">
        <v>93</v>
      </c>
      <c r="H8" s="29" t="s">
        <v>78</v>
      </c>
      <c r="I8" s="30" t="s">
        <v>93</v>
      </c>
      <c r="J8" s="29" t="s">
        <v>78</v>
      </c>
      <c r="K8" s="30" t="s">
        <v>93</v>
      </c>
    </row>
    <row r="9" ht="42" customHeight="1" spans="1:11" x14ac:dyDescent="0.25">
      <c r="A9" s="28" t="s">
        <v>94</v>
      </c>
      <c r="B9" s="19" t="s">
        <v>39</v>
      </c>
      <c r="C9" s="20" t="s">
        <v>41</v>
      </c>
      <c r="D9" s="29" t="s">
        <v>78</v>
      </c>
      <c r="E9" s="30" t="s">
        <v>93</v>
      </c>
      <c r="F9" s="29" t="s">
        <v>78</v>
      </c>
      <c r="G9" s="30" t="s">
        <v>93</v>
      </c>
      <c r="H9" s="29" t="s">
        <v>78</v>
      </c>
      <c r="I9" s="30" t="s">
        <v>93</v>
      </c>
      <c r="J9" s="29" t="s">
        <v>78</v>
      </c>
      <c r="K9" s="30" t="s">
        <v>93</v>
      </c>
    </row>
    <row r="10" ht="42" customHeight="1" spans="1:11" x14ac:dyDescent="0.25">
      <c r="A10" s="28" t="s">
        <v>95</v>
      </c>
      <c r="B10" s="19" t="s">
        <v>39</v>
      </c>
      <c r="C10" s="20" t="s">
        <v>42</v>
      </c>
      <c r="D10" s="29" t="s">
        <v>78</v>
      </c>
      <c r="E10" s="30" t="s">
        <v>93</v>
      </c>
      <c r="F10" s="29" t="s">
        <v>78</v>
      </c>
      <c r="G10" s="30" t="s">
        <v>96</v>
      </c>
      <c r="H10" s="29" t="s">
        <v>78</v>
      </c>
      <c r="I10" s="30" t="s">
        <v>97</v>
      </c>
      <c r="J10" s="31" t="s">
        <v>83</v>
      </c>
      <c r="K10" s="30" t="s">
        <v>98</v>
      </c>
    </row>
    <row r="11" ht="42" customHeight="1" spans="1:11" x14ac:dyDescent="0.25">
      <c r="A11" s="28" t="s">
        <v>99</v>
      </c>
      <c r="B11" s="19" t="s">
        <v>39</v>
      </c>
      <c r="C11" s="20" t="s">
        <v>43</v>
      </c>
      <c r="D11" s="29" t="s">
        <v>78</v>
      </c>
      <c r="E11" s="30" t="s">
        <v>100</v>
      </c>
      <c r="F11" s="29" t="s">
        <v>78</v>
      </c>
      <c r="G11" s="30" t="s">
        <v>100</v>
      </c>
      <c r="H11" s="29" t="s">
        <v>78</v>
      </c>
      <c r="I11" s="30" t="s">
        <v>100</v>
      </c>
      <c r="J11" s="29" t="s">
        <v>78</v>
      </c>
      <c r="K11" s="30" t="s">
        <v>100</v>
      </c>
    </row>
    <row r="12" ht="42" customHeight="1" spans="1:11" x14ac:dyDescent="0.25">
      <c r="A12" s="28" t="s">
        <v>101</v>
      </c>
      <c r="B12" s="19" t="s">
        <v>39</v>
      </c>
      <c r="C12" s="20" t="s">
        <v>44</v>
      </c>
      <c r="D12" s="31" t="s">
        <v>83</v>
      </c>
      <c r="E12" s="30" t="s">
        <v>102</v>
      </c>
      <c r="F12" s="31" t="s">
        <v>83</v>
      </c>
      <c r="G12" s="30" t="s">
        <v>103</v>
      </c>
      <c r="H12" s="31" t="s">
        <v>83</v>
      </c>
      <c r="I12" s="30" t="s">
        <v>104</v>
      </c>
      <c r="J12" s="31" t="s">
        <v>83</v>
      </c>
      <c r="K12" s="30" t="s">
        <v>105</v>
      </c>
    </row>
    <row r="13" ht="42" customHeight="1" spans="1:11" x14ac:dyDescent="0.25">
      <c r="A13" s="28" t="s">
        <v>106</v>
      </c>
      <c r="B13" s="19" t="s">
        <v>45</v>
      </c>
      <c r="C13" s="20" t="s">
        <v>46</v>
      </c>
      <c r="D13" s="29" t="s">
        <v>78</v>
      </c>
      <c r="E13" s="30" t="s">
        <v>107</v>
      </c>
      <c r="F13" s="29" t="s">
        <v>78</v>
      </c>
      <c r="G13" s="30" t="s">
        <v>107</v>
      </c>
      <c r="H13" s="29" t="s">
        <v>78</v>
      </c>
      <c r="I13" s="30" t="s">
        <v>107</v>
      </c>
      <c r="J13" s="29" t="s">
        <v>78</v>
      </c>
      <c r="K13" s="30" t="s">
        <v>107</v>
      </c>
    </row>
    <row r="14" ht="42" customHeight="1" spans="1:11" x14ac:dyDescent="0.25">
      <c r="A14" s="28" t="s">
        <v>108</v>
      </c>
      <c r="B14" s="19" t="s">
        <v>45</v>
      </c>
      <c r="C14" s="20" t="s">
        <v>47</v>
      </c>
      <c r="D14" s="29" t="s">
        <v>78</v>
      </c>
      <c r="E14" s="30" t="s">
        <v>107</v>
      </c>
      <c r="F14" s="29" t="s">
        <v>78</v>
      </c>
      <c r="G14" s="30" t="s">
        <v>107</v>
      </c>
      <c r="H14" s="29" t="s">
        <v>78</v>
      </c>
      <c r="I14" s="30" t="s">
        <v>107</v>
      </c>
      <c r="J14" s="29" t="s">
        <v>78</v>
      </c>
      <c r="K14" s="30" t="s">
        <v>107</v>
      </c>
    </row>
    <row r="15" ht="42" customHeight="1" spans="1:11" x14ac:dyDescent="0.25">
      <c r="A15" s="28" t="s">
        <v>109</v>
      </c>
      <c r="B15" s="19" t="s">
        <v>45</v>
      </c>
      <c r="C15" s="20" t="s">
        <v>48</v>
      </c>
      <c r="D15" s="29" t="s">
        <v>78</v>
      </c>
      <c r="E15" s="30" t="s">
        <v>107</v>
      </c>
      <c r="F15" s="29" t="s">
        <v>78</v>
      </c>
      <c r="G15" s="30" t="s">
        <v>107</v>
      </c>
      <c r="H15" s="29" t="s">
        <v>78</v>
      </c>
      <c r="I15" s="30" t="s">
        <v>107</v>
      </c>
      <c r="J15" s="29" t="s">
        <v>78</v>
      </c>
      <c r="K15" s="30" t="s">
        <v>107</v>
      </c>
    </row>
    <row r="16" ht="42" customHeight="1" spans="1:11" x14ac:dyDescent="0.25">
      <c r="A16" s="28" t="s">
        <v>110</v>
      </c>
      <c r="B16" s="19" t="s">
        <v>45</v>
      </c>
      <c r="C16" s="20" t="s">
        <v>49</v>
      </c>
      <c r="D16" s="29" t="s">
        <v>78</v>
      </c>
      <c r="E16" s="30" t="s">
        <v>107</v>
      </c>
      <c r="F16" s="29" t="s">
        <v>78</v>
      </c>
      <c r="G16" s="30" t="s">
        <v>107</v>
      </c>
      <c r="H16" s="29" t="s">
        <v>78</v>
      </c>
      <c r="I16" s="30" t="s">
        <v>107</v>
      </c>
      <c r="J16" s="29" t="s">
        <v>78</v>
      </c>
      <c r="K16" s="30" t="s">
        <v>107</v>
      </c>
    </row>
    <row r="17" ht="42" customHeight="1" spans="1:11" x14ac:dyDescent="0.25">
      <c r="A17" s="28" t="s">
        <v>111</v>
      </c>
      <c r="B17" s="19" t="s">
        <v>45</v>
      </c>
      <c r="C17" s="20" t="s">
        <v>50</v>
      </c>
      <c r="D17" s="29" t="s">
        <v>78</v>
      </c>
      <c r="E17" s="30" t="s">
        <v>107</v>
      </c>
      <c r="F17" s="29" t="s">
        <v>78</v>
      </c>
      <c r="G17" s="30" t="s">
        <v>107</v>
      </c>
      <c r="H17" s="29" t="s">
        <v>78</v>
      </c>
      <c r="I17" s="30" t="s">
        <v>107</v>
      </c>
      <c r="J17" s="29" t="s">
        <v>78</v>
      </c>
      <c r="K17" s="30" t="s">
        <v>107</v>
      </c>
    </row>
    <row r="18" ht="42" customHeight="1" spans="1:11" x14ac:dyDescent="0.25">
      <c r="A18" s="28" t="s">
        <v>112</v>
      </c>
      <c r="B18" s="19" t="s">
        <v>51</v>
      </c>
      <c r="C18" s="20" t="s">
        <v>52</v>
      </c>
      <c r="D18" s="31" t="s">
        <v>83</v>
      </c>
      <c r="E18" s="30" t="s">
        <v>113</v>
      </c>
      <c r="F18" s="31" t="s">
        <v>83</v>
      </c>
      <c r="G18" s="30" t="s">
        <v>113</v>
      </c>
      <c r="H18" s="31" t="s">
        <v>83</v>
      </c>
      <c r="I18" s="30" t="s">
        <v>113</v>
      </c>
      <c r="J18" s="31" t="s">
        <v>83</v>
      </c>
      <c r="K18" s="30" t="s">
        <v>113</v>
      </c>
    </row>
    <row r="19" ht="42" customHeight="1" spans="1:11" x14ac:dyDescent="0.25">
      <c r="A19" s="28" t="s">
        <v>114</v>
      </c>
      <c r="B19" s="19" t="s">
        <v>51</v>
      </c>
      <c r="C19" s="20" t="s">
        <v>53</v>
      </c>
      <c r="D19" s="31" t="s">
        <v>83</v>
      </c>
      <c r="E19" s="30" t="s">
        <v>115</v>
      </c>
      <c r="F19" s="31" t="s">
        <v>83</v>
      </c>
      <c r="G19" s="30" t="s">
        <v>115</v>
      </c>
      <c r="H19" s="31" t="s">
        <v>83</v>
      </c>
      <c r="I19" s="30" t="s">
        <v>115</v>
      </c>
      <c r="J19" s="31" t="s">
        <v>83</v>
      </c>
      <c r="K19" s="30" t="s">
        <v>115</v>
      </c>
    </row>
    <row r="20" ht="42" customHeight="1" spans="1:11" x14ac:dyDescent="0.25">
      <c r="A20" s="28" t="s">
        <v>116</v>
      </c>
      <c r="B20" s="19" t="s">
        <v>51</v>
      </c>
      <c r="C20" s="20" t="s">
        <v>54</v>
      </c>
      <c r="D20" s="31" t="s">
        <v>83</v>
      </c>
      <c r="E20" s="30" t="s">
        <v>117</v>
      </c>
      <c r="F20" s="31" t="s">
        <v>83</v>
      </c>
      <c r="G20" s="30" t="s">
        <v>117</v>
      </c>
      <c r="H20" s="31" t="s">
        <v>83</v>
      </c>
      <c r="I20" s="30" t="s">
        <v>117</v>
      </c>
      <c r="J20" s="31" t="s">
        <v>83</v>
      </c>
      <c r="K20" s="30" t="s">
        <v>117</v>
      </c>
    </row>
    <row r="21" ht="42" customHeight="1" spans="1:11" x14ac:dyDescent="0.25">
      <c r="A21" s="28" t="s">
        <v>118</v>
      </c>
      <c r="B21" s="19" t="s">
        <v>51</v>
      </c>
      <c r="C21" s="20" t="s">
        <v>55</v>
      </c>
      <c r="D21" s="31" t="s">
        <v>83</v>
      </c>
      <c r="E21" s="30" t="s">
        <v>119</v>
      </c>
      <c r="F21" s="31" t="s">
        <v>83</v>
      </c>
      <c r="G21" s="30" t="s">
        <v>119</v>
      </c>
      <c r="H21" s="31" t="s">
        <v>83</v>
      </c>
      <c r="I21" s="30" t="s">
        <v>119</v>
      </c>
      <c r="J21" s="31" t="s">
        <v>83</v>
      </c>
      <c r="K21" s="30" t="s">
        <v>119</v>
      </c>
    </row>
    <row r="22" ht="42" customHeight="1" spans="1:11" x14ac:dyDescent="0.25">
      <c r="A22" s="28" t="s">
        <v>120</v>
      </c>
      <c r="B22" s="19" t="s">
        <v>51</v>
      </c>
      <c r="C22" s="20" t="s">
        <v>56</v>
      </c>
      <c r="D22" s="31" t="s">
        <v>83</v>
      </c>
      <c r="E22" s="30" t="s">
        <v>121</v>
      </c>
      <c r="F22" s="31" t="s">
        <v>83</v>
      </c>
      <c r="G22" s="30" t="s">
        <v>121</v>
      </c>
      <c r="H22" s="31" t="s">
        <v>83</v>
      </c>
      <c r="I22" s="30" t="s">
        <v>121</v>
      </c>
      <c r="J22" s="31" t="s">
        <v>83</v>
      </c>
      <c r="K22" s="30" t="s">
        <v>121</v>
      </c>
    </row>
    <row r="23" ht="42" customHeight="1" spans="1:11" x14ac:dyDescent="0.25">
      <c r="A23" s="28" t="s">
        <v>122</v>
      </c>
      <c r="B23" s="19" t="s">
        <v>57</v>
      </c>
      <c r="C23" s="20" t="s">
        <v>58</v>
      </c>
      <c r="D23" s="31" t="s">
        <v>83</v>
      </c>
      <c r="E23" s="30" t="s">
        <v>123</v>
      </c>
      <c r="F23" s="31" t="s">
        <v>83</v>
      </c>
      <c r="G23" s="30" t="s">
        <v>123</v>
      </c>
      <c r="H23" s="31" t="s">
        <v>83</v>
      </c>
      <c r="I23" s="30" t="s">
        <v>123</v>
      </c>
      <c r="J23" s="31" t="s">
        <v>83</v>
      </c>
      <c r="K23" s="30" t="s">
        <v>123</v>
      </c>
    </row>
    <row r="24" ht="42" customHeight="1" spans="1:11" x14ac:dyDescent="0.25">
      <c r="A24" s="28" t="s">
        <v>124</v>
      </c>
      <c r="B24" s="19" t="s">
        <v>57</v>
      </c>
      <c r="C24" s="20" t="s">
        <v>59</v>
      </c>
      <c r="D24" s="31" t="s">
        <v>83</v>
      </c>
      <c r="E24" s="30" t="s">
        <v>125</v>
      </c>
      <c r="F24" s="31" t="s">
        <v>83</v>
      </c>
      <c r="G24" s="30" t="s">
        <v>125</v>
      </c>
      <c r="H24" s="31" t="s">
        <v>83</v>
      </c>
      <c r="I24" s="30" t="s">
        <v>125</v>
      </c>
      <c r="J24" s="31" t="s">
        <v>83</v>
      </c>
      <c r="K24" s="30" t="s">
        <v>125</v>
      </c>
    </row>
    <row r="25" ht="42" customHeight="1" spans="1:11" x14ac:dyDescent="0.25">
      <c r="A25" s="28" t="s">
        <v>126</v>
      </c>
      <c r="B25" s="19" t="s">
        <v>57</v>
      </c>
      <c r="C25" s="20" t="s">
        <v>60</v>
      </c>
      <c r="D25" s="31" t="s">
        <v>83</v>
      </c>
      <c r="E25" s="30" t="s">
        <v>125</v>
      </c>
      <c r="F25" s="31" t="s">
        <v>83</v>
      </c>
      <c r="G25" s="30" t="s">
        <v>125</v>
      </c>
      <c r="H25" s="31" t="s">
        <v>83</v>
      </c>
      <c r="I25" s="30" t="s">
        <v>125</v>
      </c>
      <c r="J25" s="31" t="s">
        <v>83</v>
      </c>
      <c r="K25" s="30" t="s">
        <v>125</v>
      </c>
    </row>
    <row r="26" ht="42" customHeight="1" spans="1:11" x14ac:dyDescent="0.25">
      <c r="A26" s="28" t="s">
        <v>127</v>
      </c>
      <c r="B26" s="19" t="s">
        <v>57</v>
      </c>
      <c r="C26" s="20" t="s">
        <v>61</v>
      </c>
      <c r="D26" s="31" t="s">
        <v>83</v>
      </c>
      <c r="E26" s="30" t="s">
        <v>128</v>
      </c>
      <c r="F26" s="31" t="s">
        <v>83</v>
      </c>
      <c r="G26" s="30" t="s">
        <v>128</v>
      </c>
      <c r="H26" s="31" t="s">
        <v>83</v>
      </c>
      <c r="I26" s="30" t="s">
        <v>128</v>
      </c>
      <c r="J26" s="31" t="s">
        <v>83</v>
      </c>
      <c r="K26" s="30" t="s">
        <v>128</v>
      </c>
    </row>
    <row r="27" ht="42" customHeight="1" spans="1:11" x14ac:dyDescent="0.25">
      <c r="A27" s="28" t="s">
        <v>129</v>
      </c>
      <c r="B27" s="19" t="s">
        <v>57</v>
      </c>
      <c r="C27" s="20" t="s">
        <v>62</v>
      </c>
      <c r="D27" s="31" t="s">
        <v>83</v>
      </c>
      <c r="E27" s="30" t="s">
        <v>130</v>
      </c>
      <c r="F27" s="31" t="s">
        <v>83</v>
      </c>
      <c r="G27" s="30" t="s">
        <v>131</v>
      </c>
      <c r="H27" s="31" t="s">
        <v>83</v>
      </c>
      <c r="I27" s="30" t="s">
        <v>132</v>
      </c>
      <c r="J27" s="31" t="s">
        <v>83</v>
      </c>
      <c r="K27" s="30" t="s">
        <v>133</v>
      </c>
    </row>
    <row r="28" ht="42" customHeight="1" spans="1:11" x14ac:dyDescent="0.25">
      <c r="A28" s="28" t="s">
        <v>134</v>
      </c>
      <c r="B28" s="19" t="s">
        <v>63</v>
      </c>
      <c r="C28" s="20" t="s">
        <v>64</v>
      </c>
      <c r="D28" s="29" t="s">
        <v>78</v>
      </c>
      <c r="E28" s="30" t="s">
        <v>135</v>
      </c>
      <c r="F28" s="29" t="s">
        <v>78</v>
      </c>
      <c r="G28" s="30" t="s">
        <v>135</v>
      </c>
      <c r="H28" s="29" t="s">
        <v>78</v>
      </c>
      <c r="I28" s="30" t="s">
        <v>135</v>
      </c>
      <c r="J28" s="29" t="s">
        <v>78</v>
      </c>
      <c r="K28" s="30" t="s">
        <v>135</v>
      </c>
    </row>
  </sheetData>
  <mergeCells count="1">
    <mergeCell ref="A1:K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C867A"/>
  </sheetPr>
  <dimension ref="A1:E5"/>
  <sheetViews>
    <sheetView workbookViewId="0" showGridLines="0"/>
  </sheetViews>
  <sheetFormatPr defaultRowHeight="15" outlineLevelRow="0" outlineLevelCol="0" x14ac:dyDescent="55"/>
  <cols>
    <col min="1" max="1" width="22" customWidth="1"/>
    <col min="2" max="2" width="18" customWidth="1"/>
    <col min="3" max="3" width="20" customWidth="1"/>
    <col min="4" max="4" width="48" customWidth="1"/>
    <col min="5" max="5" width="64" customWidth="1"/>
  </cols>
  <sheetData>
    <row r="1" ht="22" customHeight="1" spans="1:5" x14ac:dyDescent="0.25">
      <c r="A1" s="18" t="s">
        <v>136</v>
      </c>
      <c r="B1" s="18" t="s">
        <v>137</v>
      </c>
      <c r="C1" s="18" t="s">
        <v>138</v>
      </c>
      <c r="D1" s="18" t="s">
        <v>139</v>
      </c>
      <c r="E1" s="18" t="s">
        <v>140</v>
      </c>
    </row>
    <row r="2" ht="40" customHeight="1" spans="1:5" x14ac:dyDescent="0.25">
      <c r="A2" s="4" t="s">
        <v>4</v>
      </c>
      <c r="B2" s="11">
        <v>4394746</v>
      </c>
      <c r="C2" s="11">
        <v>140000000</v>
      </c>
      <c r="D2" s="33" t="s">
        <v>141</v>
      </c>
      <c r="E2" s="34" t="s">
        <v>142</v>
      </c>
    </row>
    <row r="3" ht="40" customHeight="1" spans="1:5" x14ac:dyDescent="0.25">
      <c r="A3" s="4" t="s">
        <v>143</v>
      </c>
      <c r="B3" s="11">
        <v>5550164</v>
      </c>
      <c r="C3" s="11">
        <v>101339961</v>
      </c>
      <c r="D3" s="33" t="s">
        <v>144</v>
      </c>
      <c r="E3" s="34" t="s">
        <v>145</v>
      </c>
    </row>
    <row r="4" ht="40" customHeight="1" spans="1:5" x14ac:dyDescent="0.25">
      <c r="A4" s="4" t="s">
        <v>146</v>
      </c>
      <c r="B4" s="11">
        <v>10493931</v>
      </c>
      <c r="C4" s="11">
        <v>136499645</v>
      </c>
      <c r="D4" s="33" t="s">
        <v>147</v>
      </c>
      <c r="E4" s="34" t="s">
        <v>142</v>
      </c>
    </row>
    <row r="5" ht="40" customHeight="1" spans="1:5" x14ac:dyDescent="0.25">
      <c r="A5" s="4" t="s">
        <v>148</v>
      </c>
      <c r="B5" s="11">
        <v>4754018</v>
      </c>
      <c r="C5" s="11">
        <v>100000000</v>
      </c>
      <c r="D5" s="33" t="s">
        <v>149</v>
      </c>
      <c r="E5" s="34" t="s">
        <v>142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 here</vt:lpstr>
      <vt:lpstr>Expenses</vt:lpstr>
      <vt:lpstr>Rules</vt:lpstr>
      <vt:lpstr>Conference 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FairShare</dc:creator>
  <dc:title/>
  <dc:subject/>
  <dc:description/>
  <cp:keywords/>
  <cp:category/>
  <cp:lastModifiedBy>FairShare</cp:lastModifiedBy>
  <dcterms:created xsi:type="dcterms:W3CDTF">2026-04-24T17:26:09Z</dcterms:created>
  <dcterms:modified xsi:type="dcterms:W3CDTF">2026-04-24T17:26:09Z</dcterms:modified>
</cp:coreProperties>
</file>